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610" windowHeight="6825" activeTab="0"/>
  </bookViews>
  <sheets>
    <sheet name="Datos" sheetId="1" r:id="rId1"/>
    <sheet name="Ganancias y pérdidas" sheetId="2" r:id="rId2"/>
    <sheet name="Balance general" sheetId="3" r:id="rId3"/>
    <sheet name="Flujo de efectivo" sheetId="4" r:id="rId4"/>
    <sheet name="Mediciones" sheetId="5" r:id="rId5"/>
  </sheets>
  <definedNames/>
  <calcPr fullCalcOnLoad="1"/>
</workbook>
</file>

<file path=xl/sharedStrings.xml><?xml version="1.0" encoding="utf-8"?>
<sst xmlns="http://schemas.openxmlformats.org/spreadsheetml/2006/main" count="155" uniqueCount="127">
  <si>
    <t>Modelo de evaluación financiera de proyectos</t>
  </si>
  <si>
    <t>Ventas:</t>
  </si>
  <si>
    <t>Total</t>
  </si>
  <si>
    <t xml:space="preserve"> </t>
  </si>
  <si>
    <t>Datos a ingresar (cifras anuales):</t>
  </si>
  <si>
    <t>Costos:</t>
  </si>
  <si>
    <t>Costos fijos:</t>
  </si>
  <si>
    <t>Costos fijos :</t>
  </si>
  <si>
    <t>Costos variables unitarios:</t>
  </si>
  <si>
    <t>Costos totales:</t>
  </si>
  <si>
    <t>Gastos:</t>
  </si>
  <si>
    <t>Gastos de ventas</t>
  </si>
  <si>
    <t xml:space="preserve">   Sueldos y comisiones de vendedores</t>
  </si>
  <si>
    <t xml:space="preserve">   Publicidad</t>
  </si>
  <si>
    <t xml:space="preserve">   Otros gastos de ventas</t>
  </si>
  <si>
    <t>Gastos generales</t>
  </si>
  <si>
    <t xml:space="preserve">   Alquileres</t>
  </si>
  <si>
    <t xml:space="preserve">   Servicios públicos</t>
  </si>
  <si>
    <t xml:space="preserve">   Otros gastos generales</t>
  </si>
  <si>
    <t>Total gastos de ventas</t>
  </si>
  <si>
    <t xml:space="preserve">   Cantidad</t>
  </si>
  <si>
    <t xml:space="preserve">   Precio</t>
  </si>
  <si>
    <t>Año 1</t>
  </si>
  <si>
    <t>Año 2</t>
  </si>
  <si>
    <t>Año 3</t>
  </si>
  <si>
    <t>Año 4</t>
  </si>
  <si>
    <t>Año 5</t>
  </si>
  <si>
    <t>Gastos de administración</t>
  </si>
  <si>
    <t xml:space="preserve">   Sistemas</t>
  </si>
  <si>
    <t xml:space="preserve">   Sueldos administrativos</t>
  </si>
  <si>
    <t xml:space="preserve">   Otros gastos administrativos</t>
  </si>
  <si>
    <t xml:space="preserve">   Sueldos personal de mantenimiento</t>
  </si>
  <si>
    <t>Total gastos generales</t>
  </si>
  <si>
    <t>Total gastos administrativos</t>
  </si>
  <si>
    <t>Inversión inicial:</t>
  </si>
  <si>
    <t>Ingresos y egresos:</t>
  </si>
  <si>
    <t>Remodelaciones:</t>
  </si>
  <si>
    <t>Activos fijos</t>
  </si>
  <si>
    <t xml:space="preserve">   Equipos de oficina</t>
  </si>
  <si>
    <t xml:space="preserve">   Computadores</t>
  </si>
  <si>
    <t xml:space="preserve">   Maquinarias</t>
  </si>
  <si>
    <t xml:space="preserve">   Mobiliario</t>
  </si>
  <si>
    <t xml:space="preserve">   Vehículos</t>
  </si>
  <si>
    <t xml:space="preserve">   Inmuebles</t>
  </si>
  <si>
    <t>Activos intangibles</t>
  </si>
  <si>
    <t xml:space="preserve">   Licencias</t>
  </si>
  <si>
    <t xml:space="preserve">   Otros activos fijos</t>
  </si>
  <si>
    <t xml:space="preserve">   Otros activos intangibles</t>
  </si>
  <si>
    <t>Montos</t>
  </si>
  <si>
    <t>Total activos fijos</t>
  </si>
  <si>
    <t>Otros activos</t>
  </si>
  <si>
    <t>Activos circulantes:</t>
  </si>
  <si>
    <t xml:space="preserve">   Efectivo inicial</t>
  </si>
  <si>
    <t xml:space="preserve">   Inventario inicial</t>
  </si>
  <si>
    <t>Total activos intangibles</t>
  </si>
  <si>
    <t>Total capital de trabajo inicial</t>
  </si>
  <si>
    <t>Total fondos necesarios:</t>
  </si>
  <si>
    <t>Fuentes de fondos:</t>
  </si>
  <si>
    <t>Capital propio:</t>
  </si>
  <si>
    <t>Préstamos:</t>
  </si>
  <si>
    <t>Rendimiento esperado del capital propio:</t>
  </si>
  <si>
    <t>Tasa de interés para los préstamos:</t>
  </si>
  <si>
    <t>Estado de ganancias y pérdidas</t>
  </si>
  <si>
    <t>Ingresos por ventas:</t>
  </si>
  <si>
    <t>Depreciación y amortización:</t>
  </si>
  <si>
    <t>Ganancia bruta:</t>
  </si>
  <si>
    <t>Gastos generales:</t>
  </si>
  <si>
    <t>Gastos de ventas:</t>
  </si>
  <si>
    <t>Gastos de administración:</t>
  </si>
  <si>
    <t>Costos variables:</t>
  </si>
  <si>
    <t>Gastos totales:</t>
  </si>
  <si>
    <t>Ganancia neta (EBITDA)</t>
  </si>
  <si>
    <t>Ganancias antes de imp. E Int. (EBIT)</t>
  </si>
  <si>
    <t>Intereses</t>
  </si>
  <si>
    <t>Ganancias antes de impuestos</t>
  </si>
  <si>
    <t>Impuestos</t>
  </si>
  <si>
    <t>Ganancias despues de impuestos</t>
  </si>
  <si>
    <t>Tasa impositiva</t>
  </si>
  <si>
    <t>Cuadre:</t>
  </si>
  <si>
    <t>(Este resultado debe ser cero)</t>
  </si>
  <si>
    <t>Periodo de repago de los préstamos:</t>
  </si>
  <si>
    <t xml:space="preserve"> Años</t>
  </si>
  <si>
    <t>Periodo de depreciación/amort. (años)</t>
  </si>
  <si>
    <t xml:space="preserve">Deuda  </t>
  </si>
  <si>
    <t>Inicial</t>
  </si>
  <si>
    <t>Final</t>
  </si>
  <si>
    <t>Pago</t>
  </si>
  <si>
    <t>Amortización</t>
  </si>
  <si>
    <t>Interés</t>
  </si>
  <si>
    <t>Año</t>
  </si>
  <si>
    <t>Balance general</t>
  </si>
  <si>
    <t>Activos</t>
  </si>
  <si>
    <t>Activos circulantes</t>
  </si>
  <si>
    <t>Periodo de cuentas por cobrar (días):</t>
  </si>
  <si>
    <t>Periodo de cuentas por pagar (días):</t>
  </si>
  <si>
    <t>Efectivo</t>
  </si>
  <si>
    <t>Cuentas por cobrar</t>
  </si>
  <si>
    <t>Inventarios</t>
  </si>
  <si>
    <t>Total Activos</t>
  </si>
  <si>
    <t>Total activos circulantes:</t>
  </si>
  <si>
    <t>Pasivos circulantes</t>
  </si>
  <si>
    <t>Cuentas por pagar:</t>
  </si>
  <si>
    <t>Deuda:</t>
  </si>
  <si>
    <t>Capital Inicial</t>
  </si>
  <si>
    <t>Ganancias retenidas</t>
  </si>
  <si>
    <t>Total Patrimonio</t>
  </si>
  <si>
    <t>Total Pasivo + Patrimonio</t>
  </si>
  <si>
    <t>Total Pasivo</t>
  </si>
  <si>
    <t>Periodo de inventario (días):</t>
  </si>
  <si>
    <t>Flujo de efectivo</t>
  </si>
  <si>
    <t>Efectivo inicial</t>
  </si>
  <si>
    <t>Ganancias</t>
  </si>
  <si>
    <t>Aumento en CxP</t>
  </si>
  <si>
    <t>(-)Aumento en CxC</t>
  </si>
  <si>
    <t>(-) Aumento en Inventarios</t>
  </si>
  <si>
    <t>(-) Pagos de deuda</t>
  </si>
  <si>
    <t>Flujo de caja neto</t>
  </si>
  <si>
    <t>Efectivo final</t>
  </si>
  <si>
    <t>Perpetuidad</t>
  </si>
  <si>
    <t>Valor presente neto</t>
  </si>
  <si>
    <t>Mediciones</t>
  </si>
  <si>
    <t>Tasa interna de retorno:</t>
  </si>
  <si>
    <t>Valor sin perpetuidad:</t>
  </si>
  <si>
    <t>Valor con perpetuidad:</t>
  </si>
  <si>
    <t>Payback</t>
  </si>
  <si>
    <t>Payback descontado:</t>
  </si>
  <si>
    <t>Payback:</t>
  </si>
</sst>
</file>

<file path=xl/styles.xml><?xml version="1.0" encoding="utf-8"?>
<styleSheet xmlns="http://schemas.openxmlformats.org/spreadsheetml/2006/main">
  <numFmts count="8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 hidden="1" locked="0"/>
    </xf>
    <xf numFmtId="0" fontId="1" fillId="0" borderId="0" xfId="0" applyFont="1" applyAlignment="1" applyProtection="1">
      <alignment/>
      <protection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 quotePrefix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Alignment="1">
      <alignment horizontal="right"/>
    </xf>
    <xf numFmtId="9" fontId="0" fillId="0" borderId="2" xfId="0" applyNumberFormat="1" applyBorder="1" applyAlignment="1">
      <alignment/>
    </xf>
    <xf numFmtId="10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9.140625" style="2" bestFit="1" customWidth="1"/>
    <col min="2" max="16384" width="11.421875" style="2" customWidth="1"/>
  </cols>
  <sheetData>
    <row r="1" ht="12.75">
      <c r="A1" s="8" t="s">
        <v>0</v>
      </c>
    </row>
    <row r="3" ht="12.75">
      <c r="A3" s="8" t="s">
        <v>4</v>
      </c>
    </row>
    <row r="4" ht="12.75">
      <c r="A4" s="8"/>
    </row>
    <row r="5" ht="12.75">
      <c r="A5" s="8" t="s">
        <v>35</v>
      </c>
    </row>
    <row r="6" spans="2:6" ht="12.75">
      <c r="B6" s="9" t="s">
        <v>22</v>
      </c>
      <c r="C6" s="9" t="s">
        <v>23</v>
      </c>
      <c r="D6" s="9" t="s">
        <v>24</v>
      </c>
      <c r="E6" s="9" t="s">
        <v>25</v>
      </c>
      <c r="F6" s="9" t="s">
        <v>26</v>
      </c>
    </row>
    <row r="7" ht="12.75">
      <c r="A7" s="8" t="s">
        <v>1</v>
      </c>
    </row>
    <row r="8" spans="1:6" ht="12.75">
      <c r="A8" s="2" t="s">
        <v>20</v>
      </c>
      <c r="B8" s="11">
        <v>40</v>
      </c>
      <c r="C8" s="11">
        <v>50</v>
      </c>
      <c r="D8" s="11">
        <v>50</v>
      </c>
      <c r="E8" s="11">
        <v>50</v>
      </c>
      <c r="F8" s="11">
        <v>50</v>
      </c>
    </row>
    <row r="9" spans="1:6" ht="13.5" thickBot="1">
      <c r="A9" s="2" t="s">
        <v>21</v>
      </c>
      <c r="B9" s="12">
        <v>200000</v>
      </c>
      <c r="C9" s="12">
        <v>215000</v>
      </c>
      <c r="D9" s="12">
        <v>220000</v>
      </c>
      <c r="E9" s="12">
        <v>230000</v>
      </c>
      <c r="F9" s="12">
        <v>240000</v>
      </c>
    </row>
    <row r="10" spans="1:6" ht="14.25" thickBot="1" thickTop="1">
      <c r="A10" s="2" t="s">
        <v>2</v>
      </c>
      <c r="B10" s="3">
        <f>+B9*B8</f>
        <v>8000000</v>
      </c>
      <c r="C10" s="3">
        <f>+C9*C8</f>
        <v>10750000</v>
      </c>
      <c r="D10" s="3">
        <f>+D9*D8</f>
        <v>11000000</v>
      </c>
      <c r="E10" s="3">
        <f>+E9*E8</f>
        <v>11500000</v>
      </c>
      <c r="F10" s="3">
        <f>+F9*F8</f>
        <v>12000000</v>
      </c>
    </row>
    <row r="11" ht="13.5" thickTop="1"/>
    <row r="12" ht="12.75">
      <c r="A12" s="8" t="s">
        <v>5</v>
      </c>
    </row>
    <row r="14" spans="1:6" ht="12.75">
      <c r="A14" s="2" t="s">
        <v>7</v>
      </c>
      <c r="B14" s="11">
        <v>1000000</v>
      </c>
      <c r="C14" s="11">
        <f>+B14*1.05</f>
        <v>1050000</v>
      </c>
      <c r="D14" s="11">
        <f>+C14*1.05</f>
        <v>1102500</v>
      </c>
      <c r="E14" s="11">
        <f>+D14*1.05</f>
        <v>1157625</v>
      </c>
      <c r="F14" s="11">
        <f>+E14*1.05</f>
        <v>1215506.25</v>
      </c>
    </row>
    <row r="16" spans="1:6" ht="12.75">
      <c r="A16" s="2" t="s">
        <v>8</v>
      </c>
      <c r="B16" s="11">
        <v>40000</v>
      </c>
      <c r="C16" s="11">
        <v>41000</v>
      </c>
      <c r="D16" s="11">
        <v>42000</v>
      </c>
      <c r="E16" s="11">
        <v>44000</v>
      </c>
      <c r="F16" s="11">
        <v>46000</v>
      </c>
    </row>
    <row r="17" ht="13.5" thickBot="1"/>
    <row r="18" spans="1:6" ht="14.25" thickBot="1" thickTop="1">
      <c r="A18" s="2" t="s">
        <v>9</v>
      </c>
      <c r="B18" s="3">
        <f>+B16*B8+B14</f>
        <v>2600000</v>
      </c>
      <c r="C18" s="3">
        <f>+C16*C8+C14</f>
        <v>3100000</v>
      </c>
      <c r="D18" s="3">
        <f>+D16*D8+D14</f>
        <v>3202500</v>
      </c>
      <c r="E18" s="3">
        <f>+E16*E8+E14</f>
        <v>3357625</v>
      </c>
      <c r="F18" s="3">
        <f>+F16*F8+F14</f>
        <v>3515506.25</v>
      </c>
    </row>
    <row r="19" ht="13.5" thickTop="1"/>
    <row r="20" ht="12.75">
      <c r="A20" s="8" t="s">
        <v>10</v>
      </c>
    </row>
    <row r="22" ht="12.75">
      <c r="A22" s="2" t="s">
        <v>11</v>
      </c>
    </row>
    <row r="23" spans="1:6" ht="12.75">
      <c r="A23" s="2" t="s">
        <v>12</v>
      </c>
      <c r="B23" s="11">
        <v>800000</v>
      </c>
      <c r="C23" s="11">
        <v>800000</v>
      </c>
      <c r="D23" s="11">
        <v>800000</v>
      </c>
      <c r="E23" s="11">
        <v>800000</v>
      </c>
      <c r="F23" s="11">
        <v>800000</v>
      </c>
    </row>
    <row r="24" spans="1:6" ht="12.75">
      <c r="A24" s="2" t="s">
        <v>13</v>
      </c>
      <c r="B24" s="11">
        <v>500000</v>
      </c>
      <c r="C24" s="11">
        <v>500000</v>
      </c>
      <c r="D24" s="11">
        <v>500000</v>
      </c>
      <c r="E24" s="11">
        <v>500000</v>
      </c>
      <c r="F24" s="11">
        <v>500000</v>
      </c>
    </row>
    <row r="25" spans="1:6" ht="13.5" thickBot="1">
      <c r="A25" s="2" t="s">
        <v>14</v>
      </c>
      <c r="B25" s="12"/>
      <c r="C25" s="12"/>
      <c r="D25" s="12"/>
      <c r="E25" s="12"/>
      <c r="F25" s="12"/>
    </row>
    <row r="26" spans="1:6" ht="14.25" thickBot="1" thickTop="1">
      <c r="A26" s="2" t="s">
        <v>19</v>
      </c>
      <c r="B26" s="3">
        <f>SUM(B23:B25)</f>
        <v>1300000</v>
      </c>
      <c r="C26" s="3">
        <f>SUM(C23:C25)</f>
        <v>1300000</v>
      </c>
      <c r="D26" s="3">
        <f>SUM(D23:D25)</f>
        <v>1300000</v>
      </c>
      <c r="E26" s="3">
        <f>SUM(E23:E25)</f>
        <v>1300000</v>
      </c>
      <c r="F26" s="3">
        <f>SUM(F23:F25)</f>
        <v>1300000</v>
      </c>
    </row>
    <row r="27" ht="13.5" thickTop="1">
      <c r="A27" s="2" t="s">
        <v>15</v>
      </c>
    </row>
    <row r="28" spans="1:6" ht="12.75">
      <c r="A28" s="2" t="s">
        <v>16</v>
      </c>
      <c r="B28" s="11">
        <v>1000000</v>
      </c>
      <c r="C28" s="11">
        <v>1000000</v>
      </c>
      <c r="D28" s="11">
        <v>1000000</v>
      </c>
      <c r="E28" s="11">
        <v>1000000</v>
      </c>
      <c r="F28" s="11">
        <v>1000000</v>
      </c>
    </row>
    <row r="29" spans="1:6" ht="12.75">
      <c r="A29" s="2" t="s">
        <v>17</v>
      </c>
      <c r="B29" s="11"/>
      <c r="C29" s="11"/>
      <c r="D29" s="11"/>
      <c r="E29" s="11"/>
      <c r="F29" s="11"/>
    </row>
    <row r="30" spans="1:6" ht="12.75">
      <c r="A30" s="2" t="s">
        <v>31</v>
      </c>
      <c r="B30" s="11"/>
      <c r="C30" s="11"/>
      <c r="D30" s="11"/>
      <c r="E30" s="11"/>
      <c r="F30" s="11"/>
    </row>
    <row r="31" spans="1:6" ht="13.5" thickBot="1">
      <c r="A31" s="2" t="s">
        <v>18</v>
      </c>
      <c r="B31" s="12"/>
      <c r="C31" s="12"/>
      <c r="D31" s="12"/>
      <c r="E31" s="12"/>
      <c r="F31" s="12"/>
    </row>
    <row r="32" spans="1:6" ht="14.25" thickBot="1" thickTop="1">
      <c r="A32" s="2" t="s">
        <v>32</v>
      </c>
      <c r="B32" s="3">
        <f>SUM(B28:B31)</f>
        <v>1000000</v>
      </c>
      <c r="C32" s="3">
        <f>SUM(C28:C31)</f>
        <v>1000000</v>
      </c>
      <c r="D32" s="3">
        <f>SUM(D28:D31)</f>
        <v>1000000</v>
      </c>
      <c r="E32" s="3">
        <f>SUM(E28:E31)</f>
        <v>1000000</v>
      </c>
      <c r="F32" s="3">
        <f>SUM(F28:F31)</f>
        <v>1000000</v>
      </c>
    </row>
    <row r="33" ht="13.5" thickTop="1">
      <c r="A33" s="2" t="s">
        <v>27</v>
      </c>
    </row>
    <row r="34" spans="1:6" ht="12.75">
      <c r="A34" s="2" t="s">
        <v>28</v>
      </c>
      <c r="B34" s="11">
        <v>700000</v>
      </c>
      <c r="C34" s="11">
        <v>700000</v>
      </c>
      <c r="D34" s="11">
        <v>700000</v>
      </c>
      <c r="E34" s="11">
        <v>700000</v>
      </c>
      <c r="F34" s="11">
        <v>700000</v>
      </c>
    </row>
    <row r="35" spans="1:6" ht="12.75">
      <c r="A35" s="2" t="s">
        <v>29</v>
      </c>
      <c r="B35" s="11"/>
      <c r="C35" s="11"/>
      <c r="D35" s="11"/>
      <c r="E35" s="11"/>
      <c r="F35" s="11"/>
    </row>
    <row r="36" spans="1:6" ht="13.5" thickBot="1">
      <c r="A36" s="2" t="s">
        <v>30</v>
      </c>
      <c r="B36" s="12"/>
      <c r="C36" s="12"/>
      <c r="D36" s="12"/>
      <c r="E36" s="12"/>
      <c r="F36" s="12"/>
    </row>
    <row r="37" spans="1:6" ht="14.25" thickBot="1" thickTop="1">
      <c r="A37" s="2" t="s">
        <v>33</v>
      </c>
      <c r="B37" s="3">
        <f>SUM(B34:B36)</f>
        <v>700000</v>
      </c>
      <c r="C37" s="3">
        <f>SUM(C34:C36)</f>
        <v>700000</v>
      </c>
      <c r="D37" s="3">
        <f>SUM(D34:D36)</f>
        <v>700000</v>
      </c>
      <c r="E37" s="3">
        <f>SUM(E34:E36)</f>
        <v>700000</v>
      </c>
      <c r="F37" s="3">
        <f>SUM(F34:F36)</f>
        <v>700000</v>
      </c>
    </row>
    <row r="38" ht="13.5" thickTop="1"/>
    <row r="40" ht="12.75">
      <c r="A40" s="8" t="s">
        <v>34</v>
      </c>
    </row>
    <row r="41" spans="2:3" ht="12.75">
      <c r="B41" s="8" t="s">
        <v>48</v>
      </c>
      <c r="C41" s="2" t="s">
        <v>3</v>
      </c>
    </row>
    <row r="42" spans="1:2" ht="12.75">
      <c r="A42" s="2" t="s">
        <v>36</v>
      </c>
      <c r="B42" s="11">
        <v>2000000</v>
      </c>
    </row>
    <row r="43" spans="1:2" ht="12.75">
      <c r="A43" s="2" t="s">
        <v>37</v>
      </c>
      <c r="B43" s="13"/>
    </row>
    <row r="44" spans="1:2" ht="12.75">
      <c r="A44" s="2" t="s">
        <v>40</v>
      </c>
      <c r="B44" s="11">
        <v>3000000</v>
      </c>
    </row>
    <row r="45" spans="1:2" ht="12.75">
      <c r="A45" s="2" t="s">
        <v>43</v>
      </c>
      <c r="B45" s="11"/>
    </row>
    <row r="46" spans="1:2" ht="12.75">
      <c r="A46" s="2" t="s">
        <v>42</v>
      </c>
      <c r="B46" s="11"/>
    </row>
    <row r="47" spans="1:2" ht="12.75">
      <c r="A47" s="2" t="s">
        <v>41</v>
      </c>
      <c r="B47" s="11"/>
    </row>
    <row r="48" spans="1:2" ht="12.75">
      <c r="A48" s="2" t="s">
        <v>38</v>
      </c>
      <c r="B48" s="11"/>
    </row>
    <row r="49" spans="1:2" ht="12.75">
      <c r="A49" s="2" t="s">
        <v>39</v>
      </c>
      <c r="B49" s="11"/>
    </row>
    <row r="50" spans="1:2" ht="13.5" thickBot="1">
      <c r="A50" s="2" t="s">
        <v>46</v>
      </c>
      <c r="B50" s="12"/>
    </row>
    <row r="51" spans="1:2" ht="14.25" thickBot="1" thickTop="1">
      <c r="A51" s="2" t="s">
        <v>49</v>
      </c>
      <c r="B51" s="3">
        <v>1000000</v>
      </c>
    </row>
    <row r="52" spans="1:2" ht="13.5" thickTop="1">
      <c r="A52" s="2" t="s">
        <v>44</v>
      </c>
      <c r="B52" s="14"/>
    </row>
    <row r="53" spans="1:2" ht="12.75">
      <c r="A53" s="2" t="s">
        <v>45</v>
      </c>
      <c r="B53" s="11">
        <v>2000000</v>
      </c>
    </row>
    <row r="54" spans="1:2" ht="13.5" thickBot="1">
      <c r="A54" s="2" t="s">
        <v>47</v>
      </c>
      <c r="B54" s="12"/>
    </row>
    <row r="55" spans="1:2" ht="14.25" thickBot="1" thickTop="1">
      <c r="A55" s="2" t="s">
        <v>54</v>
      </c>
      <c r="B55" s="3">
        <f>+B54+B53</f>
        <v>2000000</v>
      </c>
    </row>
    <row r="56" spans="1:2" ht="13.5" thickTop="1">
      <c r="A56" s="2" t="s">
        <v>50</v>
      </c>
      <c r="B56" s="15"/>
    </row>
    <row r="58" ht="12.75">
      <c r="A58" s="2" t="s">
        <v>51</v>
      </c>
    </row>
    <row r="59" spans="1:2" ht="12.75">
      <c r="A59" s="2" t="s">
        <v>52</v>
      </c>
      <c r="B59" s="11">
        <v>1500000</v>
      </c>
    </row>
    <row r="60" spans="1:2" ht="13.5" thickBot="1">
      <c r="A60" s="2" t="s">
        <v>53</v>
      </c>
      <c r="B60" s="12">
        <v>300000</v>
      </c>
    </row>
    <row r="61" spans="1:2" ht="14.25" thickBot="1" thickTop="1">
      <c r="A61" s="2" t="s">
        <v>55</v>
      </c>
      <c r="B61" s="3">
        <f>+B60+B59</f>
        <v>1800000</v>
      </c>
    </row>
    <row r="62" ht="13.5" thickTop="1">
      <c r="B62" s="13"/>
    </row>
    <row r="63" spans="1:2" ht="12.75">
      <c r="A63" s="2" t="s">
        <v>93</v>
      </c>
      <c r="B63" s="11">
        <v>20</v>
      </c>
    </row>
    <row r="64" spans="1:2" ht="12.75">
      <c r="A64" s="2" t="s">
        <v>108</v>
      </c>
      <c r="B64" s="11">
        <v>15</v>
      </c>
    </row>
    <row r="65" spans="1:2" ht="12.75">
      <c r="A65" s="2" t="s">
        <v>94</v>
      </c>
      <c r="B65" s="11">
        <v>10</v>
      </c>
    </row>
    <row r="67" spans="1:2" ht="12.75">
      <c r="A67" s="2" t="s">
        <v>82</v>
      </c>
      <c r="B67" s="11">
        <v>3</v>
      </c>
    </row>
    <row r="68" ht="13.5" thickBot="1"/>
    <row r="69" spans="1:2" ht="14.25" thickBot="1" thickTop="1">
      <c r="A69" s="2" t="s">
        <v>56</v>
      </c>
      <c r="B69" s="3">
        <f>+B42+B51+B55+B56+B61</f>
        <v>6800000</v>
      </c>
    </row>
    <row r="70" ht="13.5" thickTop="1"/>
    <row r="71" ht="12.75">
      <c r="A71" s="2" t="s">
        <v>57</v>
      </c>
    </row>
    <row r="73" spans="1:2" ht="12.75">
      <c r="A73" s="2" t="s">
        <v>58</v>
      </c>
      <c r="B73" s="11">
        <v>3400000</v>
      </c>
    </row>
    <row r="74" spans="1:2" ht="12.75">
      <c r="A74" s="2" t="s">
        <v>59</v>
      </c>
      <c r="B74" s="11">
        <v>3400000</v>
      </c>
    </row>
    <row r="75" ht="13.5" thickBot="1">
      <c r="B75" s="13"/>
    </row>
    <row r="76" spans="1:3" ht="14.25" thickBot="1" thickTop="1">
      <c r="A76" s="2" t="s">
        <v>78</v>
      </c>
      <c r="B76" s="3">
        <f>+B74+B73-B69</f>
        <v>0</v>
      </c>
      <c r="C76" s="10" t="s">
        <v>79</v>
      </c>
    </row>
    <row r="77" ht="13.5" thickTop="1"/>
    <row r="78" spans="1:2" ht="12.75">
      <c r="A78" s="2" t="s">
        <v>60</v>
      </c>
      <c r="B78" s="17">
        <v>0.2</v>
      </c>
    </row>
    <row r="79" spans="1:2" ht="12.75">
      <c r="A79" s="2" t="s">
        <v>61</v>
      </c>
      <c r="B79" s="17">
        <v>0.1</v>
      </c>
    </row>
    <row r="80" spans="1:3" ht="12.75">
      <c r="A80" s="2" t="s">
        <v>80</v>
      </c>
      <c r="B80" s="11">
        <v>4</v>
      </c>
      <c r="C80" s="2" t="s">
        <v>81</v>
      </c>
    </row>
    <row r="81" spans="1:2" ht="12.75">
      <c r="A81" s="2" t="s">
        <v>77</v>
      </c>
      <c r="B81" s="17">
        <v>0.35</v>
      </c>
    </row>
    <row r="82" spans="2:6" ht="12.75">
      <c r="B82" s="2">
        <v>1</v>
      </c>
      <c r="C82" s="2">
        <v>2</v>
      </c>
      <c r="D82" s="2">
        <v>3</v>
      </c>
      <c r="E82" s="2">
        <v>4</v>
      </c>
      <c r="F82" s="2">
        <v>5</v>
      </c>
    </row>
    <row r="83" spans="1:6" ht="12.75">
      <c r="A83" s="2" t="s">
        <v>83</v>
      </c>
      <c r="B83" s="16" t="s">
        <v>22</v>
      </c>
      <c r="C83" s="16" t="s">
        <v>23</v>
      </c>
      <c r="D83" s="16" t="s">
        <v>24</v>
      </c>
      <c r="E83" s="16" t="s">
        <v>25</v>
      </c>
      <c r="F83" s="16" t="s">
        <v>26</v>
      </c>
    </row>
    <row r="84" spans="2:6" ht="13.5" thickBot="1">
      <c r="B84" s="16"/>
      <c r="C84" s="16"/>
      <c r="D84" s="16"/>
      <c r="E84" s="16"/>
      <c r="F84" s="16"/>
    </row>
    <row r="85" spans="1:6" ht="14.25" thickBot="1" thickTop="1">
      <c r="A85" s="2" t="s">
        <v>84</v>
      </c>
      <c r="B85" s="3">
        <f>+B74</f>
        <v>3400000</v>
      </c>
      <c r="C85" s="3">
        <f>+B89</f>
        <v>2667399.267399268</v>
      </c>
      <c r="D85" s="3">
        <f>+C89</f>
        <v>1861538.4615384631</v>
      </c>
      <c r="E85" s="3">
        <f>+D89</f>
        <v>975091.5750915775</v>
      </c>
      <c r="F85" s="3">
        <f>+E89</f>
        <v>3.259629011154175E-09</v>
      </c>
    </row>
    <row r="86" spans="1:6" ht="14.25" thickBot="1" thickTop="1">
      <c r="A86" s="2" t="s">
        <v>86</v>
      </c>
      <c r="B86" s="3">
        <f>IF(B82&lt;=$B$80,+$B$74*$B$79/(1-1/(1+$B$79)^$B$80),0)</f>
        <v>1072600.732600732</v>
      </c>
      <c r="C86" s="3">
        <f>IF(C82&lt;=$B$80,+$B$74*$B$79/(1-1/(1+$B$79)^$B$80),0)</f>
        <v>1072600.732600732</v>
      </c>
      <c r="D86" s="3">
        <f>IF(D82&lt;=$B$80,+$B$74*$B$79/(1-1/(1+$B$79)^$B$80),0)</f>
        <v>1072600.732600732</v>
      </c>
      <c r="E86" s="3">
        <f>IF(E82&lt;=$B$80,+$B$74*$B$79/(1-1/(1+$B$79)^$B$80),0)</f>
        <v>1072600.732600732</v>
      </c>
      <c r="F86" s="3">
        <f>IF(F82&lt;=$B$80,+$B$74*$B$79/(1-1/(1+$B$79)^$B$80),0)</f>
        <v>0</v>
      </c>
    </row>
    <row r="87" spans="1:6" ht="14.25" thickBot="1" thickTop="1">
      <c r="A87" s="2" t="s">
        <v>88</v>
      </c>
      <c r="B87" s="3">
        <f>+B85*$B$79</f>
        <v>340000</v>
      </c>
      <c r="C87" s="3">
        <f>+C85*$B$79</f>
        <v>266739.92673992686</v>
      </c>
      <c r="D87" s="3">
        <f>+D85*$B$79</f>
        <v>186153.84615384633</v>
      </c>
      <c r="E87" s="3">
        <f>+E85*$B$79</f>
        <v>97509.15750915775</v>
      </c>
      <c r="F87" s="3">
        <f>+F85*$B$79</f>
        <v>3.259629011154175E-10</v>
      </c>
    </row>
    <row r="88" spans="1:6" ht="14.25" thickBot="1" thickTop="1">
      <c r="A88" s="2" t="s">
        <v>87</v>
      </c>
      <c r="B88" s="3">
        <f>+B86-B87</f>
        <v>732600.732600732</v>
      </c>
      <c r="C88" s="3">
        <f>+C86-C87</f>
        <v>805860.8058608051</v>
      </c>
      <c r="D88" s="3">
        <f>+D86-D87</f>
        <v>886446.8864468856</v>
      </c>
      <c r="E88" s="3">
        <f>+E86-E87</f>
        <v>975091.5750915742</v>
      </c>
      <c r="F88" s="3">
        <f>+F86-F87</f>
        <v>-3.259629011154175E-10</v>
      </c>
    </row>
    <row r="89" spans="1:6" ht="14.25" thickBot="1" thickTop="1">
      <c r="A89" s="2" t="s">
        <v>85</v>
      </c>
      <c r="B89" s="3">
        <f>+B85-B88</f>
        <v>2667399.267399268</v>
      </c>
      <c r="C89" s="3">
        <f>+C85-C88</f>
        <v>1861538.4615384631</v>
      </c>
      <c r="D89" s="3">
        <f>+D85-D88</f>
        <v>975091.5750915775</v>
      </c>
      <c r="E89" s="3">
        <f>+E85-E88</f>
        <v>3.259629011154175E-09</v>
      </c>
      <c r="F89" s="3">
        <f>+F85-F88</f>
        <v>3.5855919122695924E-09</v>
      </c>
    </row>
    <row r="90" ht="13.5" thickTop="1"/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1" sqref="A1"/>
    </sheetView>
  </sheetViews>
  <sheetFormatPr defaultColWidth="11.421875" defaultRowHeight="12.75"/>
  <cols>
    <col min="1" max="1" width="33.00390625" style="0" bestFit="1" customWidth="1"/>
  </cols>
  <sheetData>
    <row r="1" ht="12.75">
      <c r="A1" s="1" t="s">
        <v>62</v>
      </c>
    </row>
    <row r="2" spans="1:6" ht="12.75">
      <c r="A2" s="1"/>
      <c r="B2" s="4"/>
      <c r="C2" s="4"/>
      <c r="D2" s="4"/>
      <c r="E2" s="4"/>
      <c r="F2" s="4"/>
    </row>
    <row r="3" spans="1:6" ht="12.75">
      <c r="A3" s="1"/>
      <c r="B3" s="6" t="s">
        <v>89</v>
      </c>
      <c r="C3" s="6" t="s">
        <v>89</v>
      </c>
      <c r="D3" s="6" t="s">
        <v>89</v>
      </c>
      <c r="E3" s="6" t="s">
        <v>89</v>
      </c>
      <c r="F3" s="6" t="s">
        <v>89</v>
      </c>
    </row>
    <row r="4" spans="2:6" ht="12.75">
      <c r="B4" s="7">
        <v>1</v>
      </c>
      <c r="C4" s="7">
        <v>2</v>
      </c>
      <c r="D4" s="7">
        <v>3</v>
      </c>
      <c r="E4" s="7">
        <v>4</v>
      </c>
      <c r="F4" s="7">
        <v>5</v>
      </c>
    </row>
    <row r="5" spans="2:6" ht="12.75">
      <c r="B5" s="5"/>
      <c r="C5" s="5"/>
      <c r="D5" s="5"/>
      <c r="E5" s="5"/>
      <c r="F5" s="5"/>
    </row>
    <row r="6" spans="1:6" ht="12.75">
      <c r="A6" t="s">
        <v>63</v>
      </c>
      <c r="B6" s="2">
        <f>+Datos!B10</f>
        <v>8000000</v>
      </c>
      <c r="C6" s="2">
        <f>+Datos!C10</f>
        <v>10750000</v>
      </c>
      <c r="D6" s="2">
        <f>+Datos!D10</f>
        <v>11000000</v>
      </c>
      <c r="E6" s="2">
        <f>+Datos!E10</f>
        <v>11500000</v>
      </c>
      <c r="F6" s="2">
        <f>+Datos!F10</f>
        <v>12000000</v>
      </c>
    </row>
    <row r="7" spans="1:6" ht="12.75">
      <c r="A7" t="s">
        <v>6</v>
      </c>
      <c r="B7" s="2">
        <f>+Datos!B14</f>
        <v>1000000</v>
      </c>
      <c r="C7" s="2">
        <f>+Datos!C14</f>
        <v>1050000</v>
      </c>
      <c r="D7" s="2">
        <f>+Datos!D14</f>
        <v>1102500</v>
      </c>
      <c r="E7" s="2">
        <f>+Datos!E14</f>
        <v>1157625</v>
      </c>
      <c r="F7" s="2">
        <f>+Datos!F14</f>
        <v>1215506.25</v>
      </c>
    </row>
    <row r="8" spans="1:6" ht="12.75">
      <c r="A8" t="s">
        <v>69</v>
      </c>
      <c r="B8" s="2">
        <f>+Datos!B16*Datos!B8</f>
        <v>1600000</v>
      </c>
      <c r="C8" s="2">
        <f>+Datos!C16*Datos!C8</f>
        <v>2050000</v>
      </c>
      <c r="D8" s="2">
        <f>+Datos!D16*Datos!D8</f>
        <v>2100000</v>
      </c>
      <c r="E8" s="2">
        <f>+Datos!E16*Datos!E8</f>
        <v>2200000</v>
      </c>
      <c r="F8" s="2">
        <f>+Datos!F16*Datos!F8</f>
        <v>2300000</v>
      </c>
    </row>
    <row r="9" spans="2:6" ht="13.5" thickBot="1">
      <c r="B9" s="2"/>
      <c r="C9" s="2"/>
      <c r="D9" s="2"/>
      <c r="E9" s="2"/>
      <c r="F9" s="2"/>
    </row>
    <row r="10" spans="1:6" ht="14.25" thickBot="1" thickTop="1">
      <c r="A10" t="s">
        <v>65</v>
      </c>
      <c r="B10" s="3">
        <f>+B6-B7-B8</f>
        <v>5400000</v>
      </c>
      <c r="C10" s="3">
        <f>+C6-C7-C8</f>
        <v>7650000</v>
      </c>
      <c r="D10" s="3">
        <f>+D6-D7-D8</f>
        <v>7797500</v>
      </c>
      <c r="E10" s="3">
        <f>+E6-E7-E8</f>
        <v>8142375</v>
      </c>
      <c r="F10" s="3">
        <f>+F6-F7-F8</f>
        <v>8484493.75</v>
      </c>
    </row>
    <row r="11" spans="2:6" ht="13.5" thickTop="1">
      <c r="B11" s="2"/>
      <c r="C11" s="2"/>
      <c r="D11" s="2"/>
      <c r="E11" s="2"/>
      <c r="F11" s="2"/>
    </row>
    <row r="12" spans="1:6" ht="12.75">
      <c r="A12" t="s">
        <v>67</v>
      </c>
      <c r="B12" s="2">
        <f>+Datos!B26</f>
        <v>1300000</v>
      </c>
      <c r="C12" s="2">
        <f>+Datos!C26</f>
        <v>1300000</v>
      </c>
      <c r="D12" s="2">
        <f>+Datos!D26</f>
        <v>1300000</v>
      </c>
      <c r="E12" s="2">
        <f>+Datos!E26</f>
        <v>1300000</v>
      </c>
      <c r="F12" s="2">
        <f>+Datos!F26</f>
        <v>1300000</v>
      </c>
    </row>
    <row r="13" spans="1:6" ht="12.75">
      <c r="A13" t="s">
        <v>66</v>
      </c>
      <c r="B13" s="2">
        <f>+Datos!B32</f>
        <v>1000000</v>
      </c>
      <c r="C13" s="2">
        <f>+Datos!C32</f>
        <v>1000000</v>
      </c>
      <c r="D13" s="2">
        <f>+Datos!D32</f>
        <v>1000000</v>
      </c>
      <c r="E13" s="2">
        <f>+Datos!E32</f>
        <v>1000000</v>
      </c>
      <c r="F13" s="2">
        <f>+Datos!F32</f>
        <v>1000000</v>
      </c>
    </row>
    <row r="14" spans="1:6" ht="12.75">
      <c r="A14" t="s">
        <v>68</v>
      </c>
      <c r="B14" s="2">
        <f>+Datos!B37</f>
        <v>700000</v>
      </c>
      <c r="C14" s="2">
        <f>+Datos!C37</f>
        <v>700000</v>
      </c>
      <c r="D14" s="2">
        <f>+Datos!D37</f>
        <v>700000</v>
      </c>
      <c r="E14" s="2">
        <f>+Datos!E37</f>
        <v>700000</v>
      </c>
      <c r="F14" s="2">
        <f>+Datos!F37</f>
        <v>700000</v>
      </c>
    </row>
    <row r="15" spans="2:6" ht="12.75">
      <c r="B15" s="2"/>
      <c r="C15" s="2"/>
      <c r="D15" s="2"/>
      <c r="E15" s="2"/>
      <c r="F15" s="2"/>
    </row>
    <row r="16" spans="1:6" ht="12.75">
      <c r="A16" t="s">
        <v>70</v>
      </c>
      <c r="B16" s="2">
        <f>+B14+B13+B12</f>
        <v>3000000</v>
      </c>
      <c r="C16" s="2">
        <f>+C14+C13+C12</f>
        <v>3000000</v>
      </c>
      <c r="D16" s="2">
        <f>+D14+D13+D12</f>
        <v>3000000</v>
      </c>
      <c r="E16" s="2">
        <f>+E14+E13+E12</f>
        <v>3000000</v>
      </c>
      <c r="F16" s="2">
        <f>+F14+F13+F12</f>
        <v>3000000</v>
      </c>
    </row>
    <row r="17" spans="2:6" ht="13.5" thickBot="1">
      <c r="B17" s="2"/>
      <c r="C17" s="2"/>
      <c r="D17" s="2"/>
      <c r="E17" s="2"/>
      <c r="F17" s="2"/>
    </row>
    <row r="18" spans="1:6" ht="14.25" thickBot="1" thickTop="1">
      <c r="A18" t="s">
        <v>71</v>
      </c>
      <c r="B18" s="3">
        <f>+B10-B16</f>
        <v>2400000</v>
      </c>
      <c r="C18" s="3">
        <f>+C10-C16</f>
        <v>4650000</v>
      </c>
      <c r="D18" s="3">
        <f>+D10-D16</f>
        <v>4797500</v>
      </c>
      <c r="E18" s="3">
        <f>+E10-E16</f>
        <v>5142375</v>
      </c>
      <c r="F18" s="3">
        <f>+F10-F16</f>
        <v>5484493.75</v>
      </c>
    </row>
    <row r="19" spans="2:6" ht="13.5" thickTop="1">
      <c r="B19" s="2"/>
      <c r="C19" s="2"/>
      <c r="D19" s="2"/>
      <c r="E19" s="2"/>
      <c r="F19" s="2"/>
    </row>
    <row r="20" spans="1:6" ht="12.75">
      <c r="A20" t="s">
        <v>64</v>
      </c>
      <c r="B20" s="2">
        <f>+'Balance general'!B15-'Balance general'!C15+'Balance general'!B17-'Balance general'!C17</f>
        <v>1666666.6666666665</v>
      </c>
      <c r="C20" s="2">
        <f>+'Balance general'!C15-'Balance general'!D15+'Balance general'!C17-'Balance general'!D17</f>
        <v>1666666.6666666665</v>
      </c>
      <c r="D20" s="2">
        <f>+'Balance general'!D15-'Balance general'!E15+'Balance general'!D17-'Balance general'!E17</f>
        <v>1666666.6666666667</v>
      </c>
      <c r="E20" s="2">
        <f>+'Balance general'!E15-'Balance general'!F15+'Balance general'!E17-'Balance general'!F17</f>
        <v>2.3283064365386963E-10</v>
      </c>
      <c r="F20" s="2">
        <f>+'Balance general'!F15-'Balance general'!G15+'Balance general'!F17-'Balance general'!G17</f>
        <v>0</v>
      </c>
    </row>
    <row r="21" spans="2:6" ht="13.5" thickBot="1">
      <c r="B21" s="2"/>
      <c r="C21" s="2"/>
      <c r="D21" s="2"/>
      <c r="E21" s="2"/>
      <c r="F21" s="2"/>
    </row>
    <row r="22" spans="1:6" ht="14.25" thickBot="1" thickTop="1">
      <c r="A22" t="s">
        <v>72</v>
      </c>
      <c r="B22" s="3">
        <f>+B18-B20</f>
        <v>733333.3333333335</v>
      </c>
      <c r="C22" s="3">
        <f>+C18-C20</f>
        <v>2983333.3333333335</v>
      </c>
      <c r="D22" s="3">
        <f>+D18-D20</f>
        <v>3130833.333333333</v>
      </c>
      <c r="E22" s="3">
        <f>+E18-E20</f>
        <v>5142375</v>
      </c>
      <c r="F22" s="3">
        <f>+F18-F20</f>
        <v>5484493.75</v>
      </c>
    </row>
    <row r="23" spans="2:6" ht="13.5" thickTop="1">
      <c r="B23" s="2"/>
      <c r="C23" s="2"/>
      <c r="D23" s="2"/>
      <c r="E23" s="2"/>
      <c r="F23" s="2"/>
    </row>
    <row r="24" spans="1:6" ht="12.75">
      <c r="A24" t="s">
        <v>73</v>
      </c>
      <c r="B24" s="2">
        <f>+Datos!B87</f>
        <v>340000</v>
      </c>
      <c r="C24" s="2">
        <f>+Datos!C87</f>
        <v>266739.92673992686</v>
      </c>
      <c r="D24" s="2">
        <f>+Datos!D87</f>
        <v>186153.84615384633</v>
      </c>
      <c r="E24" s="2">
        <f>+Datos!E87</f>
        <v>97509.15750915775</v>
      </c>
      <c r="F24" s="2">
        <f>+Datos!F87</f>
        <v>3.259629011154175E-10</v>
      </c>
    </row>
    <row r="25" spans="2:6" ht="12.75">
      <c r="B25" s="2"/>
      <c r="C25" s="2"/>
      <c r="D25" s="2"/>
      <c r="E25" s="2"/>
      <c r="F25" s="2"/>
    </row>
    <row r="26" spans="1:6" ht="12.75">
      <c r="A26" t="s">
        <v>74</v>
      </c>
      <c r="B26" s="2">
        <f>+B22-B24</f>
        <v>393333.3333333335</v>
      </c>
      <c r="C26" s="2">
        <f>+C22-C24</f>
        <v>2716593.4065934066</v>
      </c>
      <c r="D26" s="2">
        <f>+D22-D24</f>
        <v>2944679.4871794865</v>
      </c>
      <c r="E26" s="2">
        <f>+E22-E24</f>
        <v>5044865.842490843</v>
      </c>
      <c r="F26" s="2">
        <f>+F22-F24</f>
        <v>5484493.75</v>
      </c>
    </row>
    <row r="27" spans="2:6" ht="12.75">
      <c r="B27" s="2"/>
      <c r="C27" s="2"/>
      <c r="D27" s="2"/>
      <c r="E27" s="2"/>
      <c r="F27" s="2"/>
    </row>
    <row r="28" spans="1:6" ht="12.75">
      <c r="A28" t="s">
        <v>75</v>
      </c>
      <c r="B28" s="2">
        <f>+B26*Datos!$B$81</f>
        <v>137666.66666666672</v>
      </c>
      <c r="C28" s="2">
        <f>+C26*Datos!$B$81</f>
        <v>950807.6923076923</v>
      </c>
      <c r="D28" s="2">
        <f>+D26*Datos!$B$81</f>
        <v>1030637.8205128203</v>
      </c>
      <c r="E28" s="2">
        <f>+E26*Datos!$B$81</f>
        <v>1765703.0448717948</v>
      </c>
      <c r="F28" s="2">
        <f>+F26*Datos!$B$81</f>
        <v>1919572.8124999998</v>
      </c>
    </row>
    <row r="29" spans="2:6" ht="13.5" thickBot="1">
      <c r="B29" s="2"/>
      <c r="C29" s="2"/>
      <c r="D29" s="2"/>
      <c r="E29" s="2"/>
      <c r="F29" s="2"/>
    </row>
    <row r="30" spans="1:6" ht="14.25" thickBot="1" thickTop="1">
      <c r="A30" t="s">
        <v>76</v>
      </c>
      <c r="B30" s="3">
        <f>+B26-B28</f>
        <v>255666.66666666677</v>
      </c>
      <c r="C30" s="3">
        <f>+C26-C28</f>
        <v>1765785.7142857143</v>
      </c>
      <c r="D30" s="3">
        <f>+D26-D28</f>
        <v>1914041.6666666663</v>
      </c>
      <c r="E30" s="3">
        <f>+E26-E28</f>
        <v>3279162.7976190476</v>
      </c>
      <c r="F30" s="3">
        <f>+F26-F28</f>
        <v>3564920.9375</v>
      </c>
    </row>
    <row r="31" ht="13.5" thickTop="1"/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A1" sqref="A1"/>
    </sheetView>
  </sheetViews>
  <sheetFormatPr defaultColWidth="11.421875" defaultRowHeight="12.75"/>
  <cols>
    <col min="1" max="1" width="22.421875" style="2" bestFit="1" customWidth="1"/>
    <col min="2" max="16384" width="11.421875" style="2" customWidth="1"/>
  </cols>
  <sheetData>
    <row r="1" ht="12.75">
      <c r="A1" s="8" t="s">
        <v>90</v>
      </c>
    </row>
    <row r="3" spans="2:7" ht="12.75">
      <c r="B3" s="9" t="s">
        <v>89</v>
      </c>
      <c r="C3" s="9" t="s">
        <v>89</v>
      </c>
      <c r="D3" s="9" t="s">
        <v>89</v>
      </c>
      <c r="E3" s="9" t="s">
        <v>89</v>
      </c>
      <c r="F3" s="9" t="s">
        <v>89</v>
      </c>
      <c r="G3" s="9" t="s">
        <v>89</v>
      </c>
    </row>
    <row r="4" spans="2:7" ht="12.75">
      <c r="B4" s="8">
        <v>0</v>
      </c>
      <c r="C4" s="8">
        <f>+B4+1</f>
        <v>1</v>
      </c>
      <c r="D4" s="8">
        <f>+C4+1</f>
        <v>2</v>
      </c>
      <c r="E4" s="8">
        <f>+D4+1</f>
        <v>3</v>
      </c>
      <c r="F4" s="8">
        <f>+E4+1</f>
        <v>4</v>
      </c>
      <c r="G4" s="8">
        <f>+F4+1</f>
        <v>5</v>
      </c>
    </row>
    <row r="5" ht="12.75">
      <c r="A5" s="2" t="s">
        <v>91</v>
      </c>
    </row>
    <row r="7" ht="12.75">
      <c r="A7" s="2" t="s">
        <v>92</v>
      </c>
    </row>
    <row r="9" spans="1:7" ht="12.75">
      <c r="A9" s="2" t="s">
        <v>95</v>
      </c>
      <c r="B9" s="2">
        <f>+Datos!B59</f>
        <v>1500000</v>
      </c>
      <c r="C9" s="2">
        <f>+'Flujo de efectivo'!C22</f>
        <v>2509177.0451770457</v>
      </c>
      <c r="D9" s="2">
        <f>+'Flujo de efectivo'!D22</f>
        <v>4976046.398046399</v>
      </c>
      <c r="E9" s="2">
        <f>+'Flujo de efectivo'!E22</f>
        <v>7654995.344932845</v>
      </c>
      <c r="F9" s="2">
        <f>+'Flujo de efectivo'!F22</f>
        <v>9929134.275793651</v>
      </c>
      <c r="G9" s="2">
        <f>+'Flujo de efectivo'!G22</f>
        <v>13464084.640376985</v>
      </c>
    </row>
    <row r="10" spans="1:7" ht="12.75">
      <c r="A10" s="2" t="s">
        <v>96</v>
      </c>
      <c r="B10" s="2">
        <v>0</v>
      </c>
      <c r="C10" s="2">
        <f>+'Ganancias y pérdidas'!B6*Datos!$B$63/360</f>
        <v>444444.44444444444</v>
      </c>
      <c r="D10" s="2">
        <f>+'Ganancias y pérdidas'!C6*Datos!$B$63/360</f>
        <v>597222.2222222222</v>
      </c>
      <c r="E10" s="2">
        <f>+'Ganancias y pérdidas'!D6*Datos!$B$63/360</f>
        <v>611111.1111111111</v>
      </c>
      <c r="F10" s="2">
        <f>+'Ganancias y pérdidas'!E6*Datos!$B$63/360</f>
        <v>638888.8888888889</v>
      </c>
      <c r="G10" s="2">
        <f>+'Ganancias y pérdidas'!F6*Datos!$B$63/360</f>
        <v>666666.6666666666</v>
      </c>
    </row>
    <row r="11" spans="1:7" ht="12.75">
      <c r="A11" s="2" t="s">
        <v>97</v>
      </c>
      <c r="B11" s="2">
        <f>+Datos!B60</f>
        <v>300000</v>
      </c>
      <c r="C11" s="2">
        <f>+Datos!B18*Datos!$B$64/360</f>
        <v>108333.33333333333</v>
      </c>
      <c r="D11" s="2">
        <f>+Datos!C18*Datos!$B$64/360</f>
        <v>129166.66666666667</v>
      </c>
      <c r="E11" s="2">
        <f>+Datos!D18*Datos!$B$64/360</f>
        <v>133437.5</v>
      </c>
      <c r="F11" s="2">
        <f>+Datos!E18*Datos!$B$64/360</f>
        <v>139901.04166666666</v>
      </c>
      <c r="G11" s="2">
        <f>+Datos!F18*Datos!$B$64/360</f>
        <v>146479.42708333334</v>
      </c>
    </row>
    <row r="13" spans="1:7" ht="12.75">
      <c r="A13" s="2" t="s">
        <v>99</v>
      </c>
      <c r="B13" s="2">
        <f aca="true" t="shared" si="0" ref="B13:G13">+B11+B10+B9</f>
        <v>1800000</v>
      </c>
      <c r="C13" s="2">
        <f t="shared" si="0"/>
        <v>3061954.8229548233</v>
      </c>
      <c r="D13" s="2">
        <f t="shared" si="0"/>
        <v>5702435.2869352875</v>
      </c>
      <c r="E13" s="2">
        <f t="shared" si="0"/>
        <v>8399543.956043957</v>
      </c>
      <c r="F13" s="2">
        <f t="shared" si="0"/>
        <v>10707924.206349207</v>
      </c>
      <c r="G13" s="2">
        <f t="shared" si="0"/>
        <v>14277230.734126985</v>
      </c>
    </row>
    <row r="15" spans="1:7" ht="12.75">
      <c r="A15" s="2" t="s">
        <v>37</v>
      </c>
      <c r="B15" s="2">
        <f>+Datos!B42+Datos!B51+Datos!B56</f>
        <v>3000000</v>
      </c>
      <c r="C15" s="2">
        <f>IF(C4&lt;=Datos!$B$67,'Balance general'!B15-'Balance general'!$B$15/Datos!$B$67,0)</f>
        <v>2000000</v>
      </c>
      <c r="D15" s="2">
        <f>IF(D4&lt;=Datos!$B$67,'Balance general'!C15-'Balance general'!$B$15/Datos!$B$67,0)</f>
        <v>1000000</v>
      </c>
      <c r="E15" s="2">
        <f>IF(E4&lt;=Datos!$B$67,'Balance general'!D15-'Balance general'!$B$15/Datos!$B$67,0)</f>
        <v>0</v>
      </c>
      <c r="F15" s="2">
        <f>IF(F4&lt;=Datos!$B$67,'Balance general'!E15-'Balance general'!$B$15/Datos!$B$67,0)</f>
        <v>0</v>
      </c>
      <c r="G15" s="2">
        <f>IF(G4&lt;=Datos!$B$67,'Balance general'!F15-'Balance general'!$B$15/Datos!$B$67,0)</f>
        <v>0</v>
      </c>
    </row>
    <row r="17" spans="1:7" ht="12.75">
      <c r="A17" s="2" t="s">
        <v>44</v>
      </c>
      <c r="B17" s="2">
        <f>+Datos!B55</f>
        <v>2000000</v>
      </c>
      <c r="C17" s="2">
        <f>IF(C4&lt;=Datos!$B$67,'Balance general'!B17-'Balance general'!$B$17/Datos!$B$67,0)</f>
        <v>1333333.3333333335</v>
      </c>
      <c r="D17" s="2">
        <f>IF(D4&lt;=Datos!$B$67,'Balance general'!C17-'Balance general'!$B$17/Datos!$B$67,0)</f>
        <v>666666.6666666669</v>
      </c>
      <c r="E17" s="2">
        <f>IF(E4&lt;=Datos!$B$67,'Balance general'!D17-'Balance general'!$B$17/Datos!$B$67,0)</f>
        <v>2.3283064365386963E-10</v>
      </c>
      <c r="F17" s="2">
        <f>IF(F4&lt;=Datos!$B$67,'Balance general'!E17-'Balance general'!$B$17/Datos!$B$67,0)</f>
        <v>0</v>
      </c>
      <c r="G17" s="2">
        <f>IF(G4&lt;=Datos!$B$67,'Balance general'!F17-'Balance general'!$B$17/Datos!$B$67,0)</f>
        <v>0</v>
      </c>
    </row>
    <row r="19" spans="1:7" ht="12.75">
      <c r="A19" s="2" t="s">
        <v>98</v>
      </c>
      <c r="B19" s="2">
        <f aca="true" t="shared" si="1" ref="B19:G19">+B17+B15+B13</f>
        <v>6800000</v>
      </c>
      <c r="C19" s="2">
        <f t="shared" si="1"/>
        <v>6395288.156288156</v>
      </c>
      <c r="D19" s="2">
        <f t="shared" si="1"/>
        <v>7369101.9536019545</v>
      </c>
      <c r="E19" s="2">
        <f t="shared" si="1"/>
        <v>8399543.956043957</v>
      </c>
      <c r="F19" s="2">
        <f t="shared" si="1"/>
        <v>10707924.206349207</v>
      </c>
      <c r="G19" s="2">
        <f t="shared" si="1"/>
        <v>14277230.734126985</v>
      </c>
    </row>
    <row r="21" spans="1:2" ht="12.75">
      <c r="A21" s="2" t="s">
        <v>100</v>
      </c>
      <c r="B21" s="2" t="s">
        <v>3</v>
      </c>
    </row>
    <row r="23" spans="1:7" ht="12.75">
      <c r="A23" s="2" t="s">
        <v>101</v>
      </c>
      <c r="B23" s="2">
        <v>0</v>
      </c>
      <c r="C23" s="2">
        <f>+Datos!B18*Datos!$B$65/360</f>
        <v>72222.22222222222</v>
      </c>
      <c r="D23" s="2">
        <f>+Datos!C18*Datos!$B$65/360</f>
        <v>86111.11111111111</v>
      </c>
      <c r="E23" s="2">
        <f>+Datos!D18*Datos!$B$65/360</f>
        <v>88958.33333333333</v>
      </c>
      <c r="F23" s="2">
        <f>+Datos!E18*Datos!$B$65/360</f>
        <v>93267.36111111111</v>
      </c>
      <c r="G23" s="2">
        <f>+Datos!F18*Datos!$B$65/360</f>
        <v>97652.95138888889</v>
      </c>
    </row>
    <row r="25" spans="1:7" ht="12.75">
      <c r="A25" s="2" t="s">
        <v>102</v>
      </c>
      <c r="B25" s="2">
        <f>+Datos!B74</f>
        <v>3400000</v>
      </c>
      <c r="C25" s="2">
        <f>+Datos!B89</f>
        <v>2667399.267399268</v>
      </c>
      <c r="D25" s="2">
        <f>+Datos!C89</f>
        <v>1861538.4615384631</v>
      </c>
      <c r="E25" s="2">
        <f>+Datos!D89</f>
        <v>975091.5750915775</v>
      </c>
      <c r="F25" s="2">
        <f>+Datos!E89</f>
        <v>3.259629011154175E-09</v>
      </c>
      <c r="G25" s="2">
        <f>+Datos!F89</f>
        <v>3.5855919122695924E-09</v>
      </c>
    </row>
    <row r="27" spans="1:7" ht="12.75">
      <c r="A27" s="2" t="s">
        <v>107</v>
      </c>
      <c r="B27" s="2">
        <f aca="true" t="shared" si="2" ref="B27:G27">+B25+B23</f>
        <v>3400000</v>
      </c>
      <c r="C27" s="2">
        <f t="shared" si="2"/>
        <v>2739621.4896214902</v>
      </c>
      <c r="D27" s="2">
        <f t="shared" si="2"/>
        <v>1947649.5726495741</v>
      </c>
      <c r="E27" s="2">
        <f t="shared" si="2"/>
        <v>1064049.9084249109</v>
      </c>
      <c r="F27" s="2">
        <f t="shared" si="2"/>
        <v>93267.36111111437</v>
      </c>
      <c r="G27" s="2">
        <f t="shared" si="2"/>
        <v>97652.95138889247</v>
      </c>
    </row>
    <row r="29" spans="1:7" ht="12.75">
      <c r="A29" s="2" t="s">
        <v>103</v>
      </c>
      <c r="B29" s="2">
        <f>+Datos!B73</f>
        <v>3400000</v>
      </c>
      <c r="C29" s="2">
        <f>+B29</f>
        <v>3400000</v>
      </c>
      <c r="D29" s="2">
        <f>+C29</f>
        <v>3400000</v>
      </c>
      <c r="E29" s="2">
        <f>+D29</f>
        <v>3400000</v>
      </c>
      <c r="F29" s="2">
        <f>+E29</f>
        <v>3400000</v>
      </c>
      <c r="G29" s="2">
        <f>+F29</f>
        <v>3400000</v>
      </c>
    </row>
    <row r="31" spans="1:7" ht="12.75">
      <c r="A31" s="2" t="s">
        <v>104</v>
      </c>
      <c r="B31" s="2">
        <v>0</v>
      </c>
      <c r="C31" s="2">
        <f>+'Ganancias y pérdidas'!B30+B31</f>
        <v>255666.66666666677</v>
      </c>
      <c r="D31" s="2">
        <f>+'Ganancias y pérdidas'!C30+C31</f>
        <v>2021452.380952381</v>
      </c>
      <c r="E31" s="2">
        <f>+'Ganancias y pérdidas'!D30+D31</f>
        <v>3935494.0476190476</v>
      </c>
      <c r="F31" s="2">
        <f>+'Ganancias y pérdidas'!E30+E31</f>
        <v>7214656.845238095</v>
      </c>
      <c r="G31" s="2">
        <f>+'Ganancias y pérdidas'!F30+F31</f>
        <v>10779577.782738095</v>
      </c>
    </row>
    <row r="33" spans="1:7" ht="12.75">
      <c r="A33" s="2" t="s">
        <v>105</v>
      </c>
      <c r="B33" s="2">
        <f aca="true" t="shared" si="3" ref="B33:G33">+B31+B29</f>
        <v>3400000</v>
      </c>
      <c r="C33" s="2">
        <f t="shared" si="3"/>
        <v>3655666.666666667</v>
      </c>
      <c r="D33" s="2">
        <f t="shared" si="3"/>
        <v>5421452.380952381</v>
      </c>
      <c r="E33" s="2">
        <f t="shared" si="3"/>
        <v>7335494.047619048</v>
      </c>
      <c r="F33" s="2">
        <f t="shared" si="3"/>
        <v>10614656.845238095</v>
      </c>
      <c r="G33" s="2">
        <f t="shared" si="3"/>
        <v>14179577.782738095</v>
      </c>
    </row>
    <row r="35" spans="1:7" ht="12.75">
      <c r="A35" s="2" t="s">
        <v>106</v>
      </c>
      <c r="B35" s="2">
        <f aca="true" t="shared" si="4" ref="B35:G35">+B33+B27</f>
        <v>6800000</v>
      </c>
      <c r="C35" s="2">
        <f t="shared" si="4"/>
        <v>6395288.156288157</v>
      </c>
      <c r="D35" s="2">
        <f t="shared" si="4"/>
        <v>7369101.9536019545</v>
      </c>
      <c r="E35" s="2">
        <f t="shared" si="4"/>
        <v>8399543.956043959</v>
      </c>
      <c r="F35" s="2">
        <f t="shared" si="4"/>
        <v>10707924.206349209</v>
      </c>
      <c r="G35" s="2">
        <f t="shared" si="4"/>
        <v>14277230.734126987</v>
      </c>
    </row>
    <row r="37" spans="1:7" ht="12.75">
      <c r="A37" s="2" t="s">
        <v>78</v>
      </c>
      <c r="B37" s="2">
        <f aca="true" t="shared" si="5" ref="B37:G37">+B35-B19</f>
        <v>0</v>
      </c>
      <c r="C37" s="2">
        <f t="shared" si="5"/>
        <v>0</v>
      </c>
      <c r="D37" s="2">
        <f t="shared" si="5"/>
        <v>0</v>
      </c>
      <c r="E37" s="2">
        <f t="shared" si="5"/>
        <v>0</v>
      </c>
      <c r="F37" s="2">
        <f t="shared" si="5"/>
        <v>0</v>
      </c>
      <c r="G37" s="2">
        <f t="shared" si="5"/>
        <v>0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1.421875" defaultRowHeight="12.75"/>
  <cols>
    <col min="1" max="1" width="25.28125" style="2" bestFit="1" customWidth="1"/>
    <col min="2" max="2" width="13.421875" style="2" customWidth="1"/>
    <col min="3" max="16384" width="11.421875" style="2" customWidth="1"/>
  </cols>
  <sheetData>
    <row r="1" spans="1:2" ht="12.75">
      <c r="A1" s="8" t="s">
        <v>109</v>
      </c>
      <c r="B1" s="8"/>
    </row>
    <row r="3" spans="3:7" ht="12.75">
      <c r="C3" s="9" t="s">
        <v>89</v>
      </c>
      <c r="D3" s="9" t="s">
        <v>89</v>
      </c>
      <c r="E3" s="9" t="s">
        <v>89</v>
      </c>
      <c r="F3" s="9" t="s">
        <v>89</v>
      </c>
      <c r="G3" s="9" t="s">
        <v>89</v>
      </c>
    </row>
    <row r="4" spans="3:7" ht="12.75">
      <c r="C4" s="8">
        <v>1</v>
      </c>
      <c r="D4" s="8">
        <f>+C4+1</f>
        <v>2</v>
      </c>
      <c r="E4" s="8">
        <f>+D4+1</f>
        <v>3</v>
      </c>
      <c r="F4" s="8">
        <f>+E4+1</f>
        <v>4</v>
      </c>
      <c r="G4" s="8">
        <f>+F4+1</f>
        <v>5</v>
      </c>
    </row>
    <row r="6" spans="1:7" ht="12.75">
      <c r="A6" s="2" t="s">
        <v>110</v>
      </c>
      <c r="C6" s="2">
        <f>+'Balance general'!B9</f>
        <v>1500000</v>
      </c>
      <c r="D6" s="2">
        <f>+C22</f>
        <v>2509177.0451770457</v>
      </c>
      <c r="E6" s="2">
        <f>+D22</f>
        <v>4976046.398046399</v>
      </c>
      <c r="F6" s="2">
        <f>+E22</f>
        <v>7654995.344932845</v>
      </c>
      <c r="G6" s="2">
        <f>+F22</f>
        <v>9929134.275793651</v>
      </c>
    </row>
    <row r="8" spans="1:7" ht="12.75">
      <c r="A8" s="2" t="s">
        <v>111</v>
      </c>
      <c r="C8" s="2">
        <f>+'Ganancias y pérdidas'!B30</f>
        <v>255666.66666666677</v>
      </c>
      <c r="D8" s="2">
        <f>+'Ganancias y pérdidas'!C30</f>
        <v>1765785.7142857143</v>
      </c>
      <c r="E8" s="2">
        <f>+'Ganancias y pérdidas'!D30</f>
        <v>1914041.6666666663</v>
      </c>
      <c r="F8" s="2">
        <f>+'Ganancias y pérdidas'!E30</f>
        <v>3279162.7976190476</v>
      </c>
      <c r="G8" s="2">
        <f>+'Ganancias y pérdidas'!F30</f>
        <v>3564920.9375</v>
      </c>
    </row>
    <row r="10" spans="1:7" ht="12.75">
      <c r="A10" s="2" t="s">
        <v>64</v>
      </c>
      <c r="C10" s="2">
        <f>+'Ganancias y pérdidas'!B20</f>
        <v>1666666.6666666665</v>
      </c>
      <c r="D10" s="2">
        <f>+'Ganancias y pérdidas'!C20</f>
        <v>1666666.6666666665</v>
      </c>
      <c r="E10" s="2">
        <f>+'Ganancias y pérdidas'!D20</f>
        <v>1666666.6666666667</v>
      </c>
      <c r="F10" s="2">
        <f>+'Ganancias y pérdidas'!E20</f>
        <v>2.3283064365386963E-10</v>
      </c>
      <c r="G10" s="2">
        <f>+'Ganancias y pérdidas'!F20</f>
        <v>0</v>
      </c>
    </row>
    <row r="12" spans="1:7" ht="12.75">
      <c r="A12" s="2" t="s">
        <v>112</v>
      </c>
      <c r="C12" s="2">
        <f>+'Balance general'!C23-'Balance general'!B23</f>
        <v>72222.22222222222</v>
      </c>
      <c r="D12" s="2">
        <f>+'Balance general'!D23-'Balance general'!C23</f>
        <v>13888.88888888889</v>
      </c>
      <c r="E12" s="2">
        <f>+'Balance general'!E23-'Balance general'!D23</f>
        <v>2847.222222222219</v>
      </c>
      <c r="F12" s="2">
        <f>+'Balance general'!F23-'Balance general'!E23</f>
        <v>4309.027777777781</v>
      </c>
      <c r="G12" s="2">
        <f>+'Balance general'!G23-'Balance general'!F23</f>
        <v>4385.590277777781</v>
      </c>
    </row>
    <row r="14" spans="1:7" ht="12.75">
      <c r="A14" s="2" t="s">
        <v>113</v>
      </c>
      <c r="C14" s="2">
        <f>+'Balance general'!C10-'Balance general'!B10</f>
        <v>444444.44444444444</v>
      </c>
      <c r="D14" s="2">
        <f>+'Balance general'!D10-'Balance general'!C10</f>
        <v>152777.7777777778</v>
      </c>
      <c r="E14" s="2">
        <f>+'Balance general'!E10-'Balance general'!D10</f>
        <v>13888.888888888876</v>
      </c>
      <c r="F14" s="2">
        <f>+'Balance general'!F10-'Balance general'!E10</f>
        <v>27777.777777777752</v>
      </c>
      <c r="G14" s="2">
        <f>+'Balance general'!G10-'Balance general'!F10</f>
        <v>27777.777777777752</v>
      </c>
    </row>
    <row r="16" spans="1:7" ht="12.75">
      <c r="A16" s="2" t="s">
        <v>114</v>
      </c>
      <c r="C16" s="2">
        <f>+'Balance general'!C11-'Balance general'!B11</f>
        <v>-191666.6666666667</v>
      </c>
      <c r="D16" s="2">
        <f>+'Balance general'!D11-'Balance general'!C11</f>
        <v>20833.333333333343</v>
      </c>
      <c r="E16" s="2">
        <f>+'Balance general'!E11-'Balance general'!D11</f>
        <v>4270.8333333333285</v>
      </c>
      <c r="F16" s="2">
        <f>+'Balance general'!F11-'Balance general'!E11</f>
        <v>6463.541666666657</v>
      </c>
      <c r="G16" s="2">
        <f>+'Balance general'!G11-'Balance general'!F11</f>
        <v>6578.385416666686</v>
      </c>
    </row>
    <row r="18" spans="1:7" ht="12.75">
      <c r="A18" s="10" t="s">
        <v>115</v>
      </c>
      <c r="B18" s="10"/>
      <c r="C18" s="2">
        <f>+Datos!B88</f>
        <v>732600.732600732</v>
      </c>
      <c r="D18" s="2">
        <f>+Datos!C88</f>
        <v>805860.8058608051</v>
      </c>
      <c r="E18" s="2">
        <f>+Datos!D88</f>
        <v>886446.8864468856</v>
      </c>
      <c r="F18" s="2">
        <f>+Datos!E88</f>
        <v>975091.5750915742</v>
      </c>
      <c r="G18" s="2">
        <f>+Datos!F88</f>
        <v>-3.259629011154175E-10</v>
      </c>
    </row>
    <row r="20" spans="1:7" ht="12.75">
      <c r="A20" s="2" t="s">
        <v>116</v>
      </c>
      <c r="B20" s="2">
        <f>-Datos!B73</f>
        <v>-3400000</v>
      </c>
      <c r="C20" s="2">
        <f>C8+C10+C12-C14-C16-C18</f>
        <v>1009177.0451770457</v>
      </c>
      <c r="D20" s="2">
        <f>D8+D10+D12-D14-D16-D18</f>
        <v>2466869.3528693533</v>
      </c>
      <c r="E20" s="2">
        <f>E8+E10+E12-E14-E16-E18</f>
        <v>2678948.946886447</v>
      </c>
      <c r="F20" s="2">
        <f>F8+F10+F12-F14-F16-F18</f>
        <v>2274138.9308608067</v>
      </c>
      <c r="G20" s="2">
        <f>G8+G10+G12-G14-G16-G18</f>
        <v>3534950.364583334</v>
      </c>
    </row>
    <row r="22" spans="1:7" ht="12.75">
      <c r="A22" s="2" t="s">
        <v>117</v>
      </c>
      <c r="C22" s="2">
        <f>+C20+C6</f>
        <v>2509177.0451770457</v>
      </c>
      <c r="D22" s="2">
        <f>+D20+D6</f>
        <v>4976046.398046399</v>
      </c>
      <c r="E22" s="2">
        <f>+E20+E6</f>
        <v>7654995.344932845</v>
      </c>
      <c r="F22" s="2">
        <f>+F20+F6</f>
        <v>9929134.275793651</v>
      </c>
      <c r="G22" s="2">
        <f>+G20+G6</f>
        <v>13464084.640376985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1" sqref="A1"/>
    </sheetView>
  </sheetViews>
  <sheetFormatPr defaultColWidth="11.421875" defaultRowHeight="12.75"/>
  <cols>
    <col min="1" max="1" width="25.00390625" style="2" bestFit="1" customWidth="1"/>
    <col min="2" max="16384" width="11.421875" style="2" customWidth="1"/>
  </cols>
  <sheetData>
    <row r="1" ht="12.75">
      <c r="A1" s="8" t="s">
        <v>120</v>
      </c>
    </row>
    <row r="3" ht="12.75">
      <c r="B3" s="2" t="s">
        <v>89</v>
      </c>
    </row>
    <row r="4" spans="2:8" ht="12.75">
      <c r="B4" s="2">
        <v>0</v>
      </c>
      <c r="C4" s="2">
        <f>+B4+1</f>
        <v>1</v>
      </c>
      <c r="D4" s="2">
        <f>+C4+1</f>
        <v>2</v>
      </c>
      <c r="E4" s="2">
        <f>+D4+1</f>
        <v>3</v>
      </c>
      <c r="F4" s="2">
        <f>+E4+1</f>
        <v>4</v>
      </c>
      <c r="G4" s="2">
        <f>+F4+1</f>
        <v>5</v>
      </c>
      <c r="H4" s="2" t="s">
        <v>118</v>
      </c>
    </row>
    <row r="6" spans="1:8" ht="12.75">
      <c r="A6" s="2" t="s">
        <v>116</v>
      </c>
      <c r="B6" s="2">
        <f>+'Flujo de efectivo'!B20</f>
        <v>-3400000</v>
      </c>
      <c r="C6" s="2">
        <f>+'Flujo de efectivo'!C20</f>
        <v>1009177.0451770457</v>
      </c>
      <c r="D6" s="2">
        <f>+'Flujo de efectivo'!D20</f>
        <v>2466869.3528693533</v>
      </c>
      <c r="E6" s="2">
        <f>+'Flujo de efectivo'!E20</f>
        <v>2678948.946886447</v>
      </c>
      <c r="F6" s="2">
        <f>+'Flujo de efectivo'!F20</f>
        <v>2274138.9308608067</v>
      </c>
      <c r="G6" s="2">
        <f>+'Flujo de efectivo'!G20</f>
        <v>3534950.364583334</v>
      </c>
      <c r="H6" s="2">
        <f>+G6</f>
        <v>3534950.364583334</v>
      </c>
    </row>
    <row r="8" spans="1:8" ht="12.75">
      <c r="A8" s="2" t="s">
        <v>119</v>
      </c>
      <c r="B8" s="2">
        <f>+B6</f>
        <v>-3400000</v>
      </c>
      <c r="C8" s="2">
        <f>+C6/(1+Datos!$B$78)^C4</f>
        <v>840980.8709808715</v>
      </c>
      <c r="D8" s="2">
        <f>+D6/(1+Datos!$B$78)^D4</f>
        <v>1713103.7172703843</v>
      </c>
      <c r="E8" s="2">
        <f>+E6/(1+Datos!$B$78)^E4</f>
        <v>1550317.6775963234</v>
      </c>
      <c r="F8" s="2">
        <f>+F6/(1+Datos!$B$78)^F4</f>
        <v>1096710.5183549416</v>
      </c>
      <c r="G8" s="2">
        <f>+G6/(1+Datos!$B$78)^G4</f>
        <v>1420617.2697174535</v>
      </c>
      <c r="H8" s="2">
        <f>+H6/(1+Datos!$B$78)^(G4+1)/Datos!B78</f>
        <v>5919238.6238227235</v>
      </c>
    </row>
    <row r="9" ht="13.5" thickBot="1"/>
    <row r="10" spans="1:2" ht="14.25" thickBot="1" thickTop="1">
      <c r="A10" s="8" t="s">
        <v>123</v>
      </c>
      <c r="B10" s="3">
        <f>SUM(B8:H8)</f>
        <v>9140968.677742697</v>
      </c>
    </row>
    <row r="11" ht="14.25" thickBot="1" thickTop="1">
      <c r="A11" s="8"/>
    </row>
    <row r="12" spans="1:2" ht="14.25" thickBot="1" thickTop="1">
      <c r="A12" s="8" t="s">
        <v>122</v>
      </c>
      <c r="B12" s="3">
        <f>SUM(B8:G8)</f>
        <v>3221730.0539199742</v>
      </c>
    </row>
    <row r="13" ht="14.25" thickBot="1" thickTop="1">
      <c r="A13" s="8"/>
    </row>
    <row r="14" spans="1:2" ht="14.25" thickBot="1" thickTop="1">
      <c r="A14" s="8" t="s">
        <v>121</v>
      </c>
      <c r="B14" s="18">
        <f>IRR(B6:G6)</f>
        <v>0.5126562136007823</v>
      </c>
    </row>
    <row r="15" ht="14.25" thickBot="1" thickTop="1">
      <c r="A15" s="8"/>
    </row>
    <row r="16" spans="1:7" ht="12.75" hidden="1">
      <c r="A16" s="8" t="s">
        <v>124</v>
      </c>
      <c r="B16" s="2">
        <f>+B6</f>
        <v>-3400000</v>
      </c>
      <c r="C16" s="2">
        <f>+C6+B16</f>
        <v>-2390822.9548229543</v>
      </c>
      <c r="D16" s="2">
        <f>+D6+C16</f>
        <v>76046.398046399</v>
      </c>
      <c r="E16" s="2">
        <f>+E6+D16</f>
        <v>2754995.344932846</v>
      </c>
      <c r="F16" s="2">
        <f>+F6+E16</f>
        <v>5029134.275793653</v>
      </c>
      <c r="G16" s="2">
        <f>+G6+F16</f>
        <v>8564084.640376987</v>
      </c>
    </row>
    <row r="17" spans="1:7" ht="12.75" hidden="1">
      <c r="A17" s="8"/>
      <c r="C17" s="2">
        <f>IF(C16&gt;0,IF(B16&lt;0,1,0),0)</f>
        <v>0</v>
      </c>
      <c r="D17" s="2">
        <f>IF(D16&gt;0,IF(C16&lt;0,1,0),0)</f>
        <v>1</v>
      </c>
      <c r="E17" s="2">
        <f>IF(E16&gt;0,IF(D16&lt;0,1,0),0)</f>
        <v>0</v>
      </c>
      <c r="F17" s="2">
        <f>IF(F16&gt;0,IF(E16&lt;0,1,0),0)</f>
        <v>0</v>
      </c>
      <c r="G17" s="2">
        <f>IF(G16&gt;0,IF(F16&lt;0,1,0),0)</f>
        <v>0</v>
      </c>
    </row>
    <row r="18" spans="1:7" ht="12.75" hidden="1">
      <c r="A18" s="8"/>
      <c r="C18" s="19" t="str">
        <f>IF(C17&lt;&gt;0,+C4-(1-C16/C6)," ")</f>
        <v> </v>
      </c>
      <c r="D18" s="19">
        <f>IF(D17&lt;&gt;0,+D4-(1-D16/D6)," ")</f>
        <v>1.0308270877652865</v>
      </c>
      <c r="E18" s="19" t="str">
        <f>IF(E17&lt;&gt;0,+E4-(1-E16/E6)," ")</f>
        <v> </v>
      </c>
      <c r="F18" s="19" t="str">
        <f>IF(F17&lt;&gt;0,+F4-(1-F16/F6)," ")</f>
        <v> </v>
      </c>
      <c r="G18" s="19" t="str">
        <f>IF(G17&lt;&gt;0,+G4-(1-G16/G6)," ")</f>
        <v> </v>
      </c>
    </row>
    <row r="19" spans="1:2" ht="14.25" thickBot="1" thickTop="1">
      <c r="A19" s="8" t="s">
        <v>126</v>
      </c>
      <c r="B19" s="20">
        <f>IF(SUM(C18:G18)&gt;0,SUM(C18:G18),"      N/A")</f>
        <v>1.0308270877652865</v>
      </c>
    </row>
    <row r="20" ht="12.75" customHeight="1" thickBot="1" thickTop="1">
      <c r="A20" s="8"/>
    </row>
    <row r="21" spans="1:7" ht="12.75" customHeight="1" hidden="1">
      <c r="A21" s="8" t="s">
        <v>125</v>
      </c>
      <c r="B21" s="2">
        <f>+B8</f>
        <v>-3400000</v>
      </c>
      <c r="C21" s="2">
        <f>+C8+B21</f>
        <v>-2559019.1290191286</v>
      </c>
      <c r="D21" s="2">
        <f>+D8+C21</f>
        <v>-845915.4117487443</v>
      </c>
      <c r="E21" s="2">
        <f>+E8+D21</f>
        <v>704402.2658475791</v>
      </c>
      <c r="F21" s="2">
        <f>+F8+E21</f>
        <v>1801112.7842025207</v>
      </c>
      <c r="G21" s="2">
        <f>+G8+F21</f>
        <v>3221730.0539199742</v>
      </c>
    </row>
    <row r="22" spans="1:7" ht="12.75" customHeight="1" hidden="1">
      <c r="A22" s="8"/>
      <c r="C22" s="2">
        <f>IF(C21&gt;0,IF(B21&lt;0,1,0),0)</f>
        <v>0</v>
      </c>
      <c r="D22" s="2">
        <f>IF(D21&gt;0,IF(C21&lt;0,1,0),0)</f>
        <v>0</v>
      </c>
      <c r="E22" s="2">
        <f>IF(E21&gt;0,IF(D21&lt;0,1,0),0)</f>
        <v>1</v>
      </c>
      <c r="F22" s="2">
        <f>IF(F21&gt;0,IF(E21&lt;0,1,0),0)</f>
        <v>0</v>
      </c>
      <c r="G22" s="2">
        <f>IF(G21&gt;0,IF(F21&lt;0,1,0),0)</f>
        <v>0</v>
      </c>
    </row>
    <row r="23" spans="1:7" ht="12.75" customHeight="1" hidden="1" thickBot="1">
      <c r="A23" s="8"/>
      <c r="C23" s="19" t="str">
        <f>IF(C22&lt;&gt;0,+C4-(1-C21/C6)," ")</f>
        <v> </v>
      </c>
      <c r="D23" s="19" t="str">
        <f>IF(D22&lt;&gt;0,+D4-(1-D21/D6)," ")</f>
        <v> </v>
      </c>
      <c r="E23" s="19">
        <f>IF(E22&lt;&gt;0,+E4-(1-E21/E6)," ")</f>
        <v>2.262939787137883</v>
      </c>
      <c r="F23" s="19" t="str">
        <f>IF(F22&lt;&gt;0,+F4-(1-F21/F6)," ")</f>
        <v> </v>
      </c>
      <c r="G23" s="19" t="str">
        <f>IF(G22&lt;&gt;0,+G4-(1-G21/G6)," ")</f>
        <v> </v>
      </c>
    </row>
    <row r="24" spans="1:2" ht="12.75" customHeight="1" thickBot="1" thickTop="1">
      <c r="A24" s="8" t="s">
        <v>125</v>
      </c>
      <c r="B24" s="20">
        <f>IF(SUM(C23:G23)&gt;0,SUM(C23:G23),"      N/A")</f>
        <v>2.262939787137883</v>
      </c>
    </row>
    <row r="25" ht="13.5" thickTop="1"/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 </dc:creator>
  <cp:keywords/>
  <dc:description/>
  <cp:lastModifiedBy>* </cp:lastModifiedBy>
  <dcterms:created xsi:type="dcterms:W3CDTF">2006-06-01T00:33:14Z</dcterms:created>
  <dcterms:modified xsi:type="dcterms:W3CDTF">2006-06-02T01:15:20Z</dcterms:modified>
  <cp:category/>
  <cp:version/>
  <cp:contentType/>
  <cp:contentStatus/>
</cp:coreProperties>
</file>